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externalReferences>
    <externalReference r:id="rId7"/>
  </externalReference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6" l="1"/>
  <c r="E14" i="16"/>
  <c r="E13" i="16"/>
  <c r="E10" i="16"/>
  <c r="E9" i="16"/>
  <c r="E8" i="16"/>
  <c r="E7" i="16"/>
  <c r="E6" i="16"/>
  <c r="E5" i="16"/>
  <c r="E4" i="16"/>
  <c r="D12" i="16"/>
  <c r="D10" i="16"/>
  <c r="D9" i="16"/>
  <c r="D8" i="16"/>
  <c r="D7" i="16"/>
  <c r="D6" i="16"/>
  <c r="D5" i="16"/>
  <c r="D4" i="16"/>
  <c r="F4" i="16" s="1"/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N29" i="1"/>
  <c r="N17" i="1"/>
  <c r="N14" i="1"/>
  <c r="L14" i="1"/>
  <c r="J25" i="1"/>
  <c r="J14" i="1"/>
  <c r="H25" i="1"/>
  <c r="H14" i="1"/>
  <c r="B109" i="1"/>
  <c r="B83" i="1"/>
  <c r="B57" i="1"/>
  <c r="B31" i="1"/>
  <c r="L9" i="1" l="1"/>
  <c r="J9" i="1"/>
  <c r="H9" i="1"/>
  <c r="N9" i="1"/>
  <c r="P9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<sst xmlns="http://schemas.openxmlformats.org/spreadsheetml/2006/main" count="863" uniqueCount="138">
  <si>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</si>
  <si>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</si>
  <si>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</si>
  <si>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</si>
  <si>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</si>
  <si>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</si>
  <si>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</si>
  <si>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</si>
  <si>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</si>
  <si>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</si>
  <si>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</si>
  <si>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</si>
  <si>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</si>
  <si>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</si>
  <si>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</si>
  <si>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</si>
  <si>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</si>
  <si>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</si>
  <si>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</si>
  <si>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</si>
  <si>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</si>
  <si>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</si>
  <si>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</si>
  <si>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</si>
  <si>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</si>
  <si>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</si>
  <si>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</si>
  <si>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</si>
  <si>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</si>
  <si>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</si>
  <si>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</si>
  <si>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</si>
  <si>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</si>
  <si>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</si>
  <si>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</si>
  <si>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</si>
  <si>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</si>
  <si>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</si>
  <si>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</si>
  <si>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</si>
  <si>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</si>
  <si>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</si>
  <si>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</si>
  <si>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</si>
  <si>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</si>
  <si>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</si>
  <si>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</si>
  <si>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</si>
  <si>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</si>
  <si>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</si>
  <si>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</si>
  <si>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</si>
  <si>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</si>
  <si>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</si>
  <si>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</si>
  <si>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</si>
  <si>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</si>
  <si>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</si>
  <si>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</si>
  <si>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</si>
  <si>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</si>
  <si>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</si>
  <si>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</si>
  <si>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</si>
  <si>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</si>
  <si>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</si>
  <si>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</si>
  <si>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</si>
  <si>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</si>
  <si>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</si>
  <si>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</si>
  <si>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</si>
  <si>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</si>
  <si>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</si>
  <si>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</si>
  <si>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</si>
  <si>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</si>
  <si>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</si>
  <si>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</si>
  <si>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</si>
  <si>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</si>
  <si>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</si>
  <si>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</si>
  <si>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</si>
  <si>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</si>
  <si>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</si>
  <si>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</si>
  <si>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</si>
  <si>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</si>
  <si>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</si>
  <si>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</si>
  <si>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</si>
  <si>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</si>
  <si>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</si>
  <si>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</si>
  <si>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</si>
  <si>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</si>
  <si>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</si>
  <si>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</si>
  <si>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</si>
  <si>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</si>
  <si>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</si>
  <si>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</si>
  <si>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</si>
  <si>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</si>
  <si>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</si>
  <si>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</si>
  <si>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</si>
  <si>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</si>
  <si>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</si>
  <si>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</si>
  <si>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</si>
  <si>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City Wide Sidewalk &amp; ADA Repairs Package #2 2023</t>
  </si>
  <si>
    <t>SIDEWALK REMOVAL</t>
  </si>
  <si>
    <t>PORTLAND CEMENT CONCRETE SIDEWALK, 4”</t>
  </si>
  <si>
    <t>PORTLAND CEMENT CONCRETE DRIVEWAY APPROACH REMOVAL</t>
  </si>
  <si>
    <t>P.C.C. APPROACH PAVEMENT, 6”</t>
  </si>
  <si>
    <t>COMBINATION CURB AND GUTTER REMOVAL</t>
  </si>
  <si>
    <t>COMBINATION CONCRETE CURB AND GUTTER, TYPE M-6.18 (MODIFIED)</t>
  </si>
  <si>
    <t>DETECTABLE WARNINGS</t>
  </si>
  <si>
    <t>PARKWAY RESTORATION</t>
  </si>
  <si>
    <t>SELECTIVE ROOT PRUNING AND REMOVAL &gt;3”</t>
  </si>
  <si>
    <t>TRAFFIC CONTROL AND PROTECTION, SPECIAL</t>
  </si>
  <si>
    <t xml:space="preserve">ASPHALT REMOVAL </t>
  </si>
  <si>
    <t>HOT MIX ASPHALT</t>
  </si>
  <si>
    <t>SF</t>
  </si>
  <si>
    <t>SY</t>
  </si>
  <si>
    <t>LF</t>
  </si>
  <si>
    <t>LS</t>
  </si>
  <si>
    <t>IN DIA</t>
  </si>
  <si>
    <t>Norwest Construction</t>
  </si>
  <si>
    <t>South Beloit, IL</t>
  </si>
  <si>
    <t>Bid Bond</t>
  </si>
  <si>
    <t>N-Trak Group</t>
  </si>
  <si>
    <t>Loves Park, IL</t>
  </si>
  <si>
    <t>Stenstrom Excavation</t>
  </si>
  <si>
    <t>Rockford, IL</t>
  </si>
  <si>
    <t>Sjostrom &amp; 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</si>
</sst>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93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8" fillId="0" borderId="17" xfId="4" applyFont="1" applyBorder="1"/>
    <xf numFmtId="0" fontId="18" fillId="0" borderId="17" xfId="4" applyFont="1" applyBorder="1" applyAlignment="1">
      <alignment horizontal="justify" vertical="center"/>
    </xf>
    <xf numFmtId="3" fontId="1" fillId="0" borderId="17" xfId="4" applyNumberFormat="1" applyFont="1" applyBorder="1" applyAlignment="1" applyProtection="1">
      <alignment horizontal="center"/>
      <protection locked="0"/>
    </xf>
    <xf numFmtId="3" fontId="1" fillId="0" borderId="17" xfId="4" applyNumberFormat="1" applyBorder="1" applyAlignment="1" applyProtection="1">
      <alignment horizontal="right"/>
      <protection locked="0"/>
    </xf>
    <xf numFmtId="168" fontId="1" fillId="0" borderId="17" xfId="1" applyNumberFormat="1" applyFont="1" applyBorder="1" applyAlignment="1" applyProtection="1">
      <alignment horizontal="right"/>
      <protection locked="0"/>
    </xf>
    <xf numFmtId="167" fontId="1" fillId="0" borderId="17" xfId="4" applyNumberFormat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blo%20Solares\Sidewalk%20Program\2023\City-Wide%20Sidewalk%20Repairs%20Package%20%232%202023%20(West)\Package%20%202%20%20-%202023%20(wes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tions"/>
      <sheetName val="Summary of Quantities "/>
      <sheetName val="Average Engineers Estimate "/>
      <sheetName val="Geocode"/>
      <sheetName val="Sheet1"/>
    </sheetNames>
    <sheetDataSet>
      <sheetData sheetId="0">
        <row r="31">
          <cell r="D31">
            <v>25230</v>
          </cell>
          <cell r="E31">
            <v>25230</v>
          </cell>
          <cell r="F31">
            <v>25</v>
          </cell>
          <cell r="G31">
            <v>25</v>
          </cell>
          <cell r="H31">
            <v>375</v>
          </cell>
          <cell r="I31">
            <v>375</v>
          </cell>
          <cell r="J31">
            <v>280</v>
          </cell>
          <cell r="L31">
            <v>597</v>
          </cell>
        </row>
        <row r="32">
          <cell r="D32">
            <v>2.5</v>
          </cell>
          <cell r="E32">
            <v>7.25</v>
          </cell>
          <cell r="F32">
            <v>100</v>
          </cell>
          <cell r="G32">
            <v>150</v>
          </cell>
          <cell r="H32">
            <v>25</v>
          </cell>
          <cell r="I32">
            <v>45</v>
          </cell>
          <cell r="J32">
            <v>25</v>
          </cell>
          <cell r="M32">
            <v>1000</v>
          </cell>
          <cell r="N32">
            <v>20</v>
          </cell>
          <cell r="O32">
            <v>50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D16" sqref="D1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291820</v>
      </c>
    </row>
    <row r="2" spans="1:6" s="216" customFormat="1" ht="18" x14ac:dyDescent="0.25">
      <c r="A2" s="353"/>
      <c r="B2" s="353"/>
      <c r="C2" s="353"/>
      <c r="D2" s="353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7" t="s">
        <v>113</v>
      </c>
      <c r="C4" s="349" t="s">
        <v>125</v>
      </c>
      <c r="D4" s="350">
        <f>[1]Locations!D31</f>
        <v>25230</v>
      </c>
      <c r="E4" s="351">
        <f>[1]Locations!D32</f>
        <v>2.5</v>
      </c>
      <c r="F4" s="303">
        <f t="shared" ref="F4:F67" si="0">IF(AND(ISNUMBER(D4),ISNUMBER(E4)),D4*E4,"")</f>
        <v>63075</v>
      </c>
    </row>
    <row r="5" spans="1:6" x14ac:dyDescent="0.2">
      <c r="A5" s="341">
        <v>2</v>
      </c>
      <c r="B5" s="348" t="s">
        <v>114</v>
      </c>
      <c r="C5" s="349" t="s">
        <v>125</v>
      </c>
      <c r="D5" s="350">
        <f>[1]Locations!E31</f>
        <v>25230</v>
      </c>
      <c r="E5" s="351">
        <f>[1]Locations!E32</f>
        <v>7.25</v>
      </c>
      <c r="F5" s="303">
        <f t="shared" si="0"/>
        <v>182917.5</v>
      </c>
    </row>
    <row r="6" spans="1:6" ht="25.5" x14ac:dyDescent="0.2">
      <c r="A6" s="341">
        <v>3</v>
      </c>
      <c r="B6" s="348" t="s">
        <v>115</v>
      </c>
      <c r="C6" s="349" t="s">
        <v>126</v>
      </c>
      <c r="D6" s="350">
        <f>[1]Locations!F31</f>
        <v>25</v>
      </c>
      <c r="E6" s="351">
        <f>[1]Locations!F32</f>
        <v>100</v>
      </c>
      <c r="F6" s="303">
        <f t="shared" si="0"/>
        <v>2500</v>
      </c>
    </row>
    <row r="7" spans="1:6" x14ac:dyDescent="0.2">
      <c r="A7" s="341">
        <v>4</v>
      </c>
      <c r="B7" s="348" t="s">
        <v>116</v>
      </c>
      <c r="C7" s="349" t="s">
        <v>126</v>
      </c>
      <c r="D7" s="350">
        <f>[1]Locations!G31</f>
        <v>25</v>
      </c>
      <c r="E7" s="351">
        <f>[1]Locations!G32</f>
        <v>150</v>
      </c>
      <c r="F7" s="303">
        <f t="shared" si="0"/>
        <v>3750</v>
      </c>
    </row>
    <row r="8" spans="1:6" x14ac:dyDescent="0.2">
      <c r="A8" s="341">
        <v>5</v>
      </c>
      <c r="B8" s="348" t="s">
        <v>117</v>
      </c>
      <c r="C8" s="349" t="s">
        <v>127</v>
      </c>
      <c r="D8" s="350">
        <f>[1]Locations!H31</f>
        <v>375</v>
      </c>
      <c r="E8" s="351">
        <f>[1]Locations!H32</f>
        <v>25</v>
      </c>
      <c r="F8" s="303">
        <f t="shared" si="0"/>
        <v>9375</v>
      </c>
    </row>
    <row r="9" spans="1:6" ht="25.5" x14ac:dyDescent="0.2">
      <c r="A9" s="341">
        <v>6</v>
      </c>
      <c r="B9" s="348" t="s">
        <v>118</v>
      </c>
      <c r="C9" s="349" t="s">
        <v>127</v>
      </c>
      <c r="D9" s="350">
        <f>[1]Locations!I31</f>
        <v>375</v>
      </c>
      <c r="E9" s="351">
        <f>[1]Locations!I32</f>
        <v>45</v>
      </c>
      <c r="F9" s="303">
        <f t="shared" si="0"/>
        <v>16875</v>
      </c>
    </row>
    <row r="10" spans="1:6" x14ac:dyDescent="0.2">
      <c r="A10" s="341">
        <v>7</v>
      </c>
      <c r="B10" s="348" t="s">
        <v>119</v>
      </c>
      <c r="C10" s="349" t="s">
        <v>125</v>
      </c>
      <c r="D10" s="350">
        <f>[1]Locations!J31</f>
        <v>280</v>
      </c>
      <c r="E10" s="351">
        <f>[1]Locations!J32</f>
        <v>25</v>
      </c>
      <c r="F10" s="303">
        <f t="shared" si="0"/>
        <v>7000</v>
      </c>
    </row>
    <row r="11" spans="1:6" x14ac:dyDescent="0.2">
      <c r="A11" s="341">
        <v>8</v>
      </c>
      <c r="B11" s="348" t="s">
        <v>120</v>
      </c>
      <c r="C11" s="349" t="s">
        <v>128</v>
      </c>
      <c r="D11" s="350">
        <v>1</v>
      </c>
      <c r="E11" s="351">
        <v>500</v>
      </c>
      <c r="F11" s="303">
        <f t="shared" si="0"/>
        <v>500</v>
      </c>
    </row>
    <row r="12" spans="1:6" x14ac:dyDescent="0.2">
      <c r="A12" s="341">
        <v>9</v>
      </c>
      <c r="B12" s="347" t="s">
        <v>121</v>
      </c>
      <c r="C12" s="349" t="s">
        <v>129</v>
      </c>
      <c r="D12" s="350">
        <f>[1]Locations!L31</f>
        <v>597</v>
      </c>
      <c r="E12" s="351">
        <v>7.5</v>
      </c>
      <c r="F12" s="303">
        <f t="shared" si="0"/>
        <v>4477.5</v>
      </c>
    </row>
    <row r="13" spans="1:6" x14ac:dyDescent="0.2">
      <c r="A13" s="341">
        <v>10</v>
      </c>
      <c r="B13" s="348" t="s">
        <v>122</v>
      </c>
      <c r="C13" s="349" t="s">
        <v>128</v>
      </c>
      <c r="D13" s="350">
        <v>1</v>
      </c>
      <c r="E13" s="351">
        <f>[1]Locations!M32</f>
        <v>1000</v>
      </c>
      <c r="F13" s="303">
        <f t="shared" si="0"/>
        <v>1000</v>
      </c>
    </row>
    <row r="14" spans="1:6" x14ac:dyDescent="0.2">
      <c r="A14" s="341">
        <v>11</v>
      </c>
      <c r="B14" s="348" t="s">
        <v>123</v>
      </c>
      <c r="C14" s="349" t="s">
        <v>126</v>
      </c>
      <c r="D14" s="350">
        <v>5</v>
      </c>
      <c r="E14" s="352">
        <f>[1]Locations!N32</f>
        <v>20</v>
      </c>
      <c r="F14" s="303">
        <f t="shared" si="0"/>
        <v>100</v>
      </c>
    </row>
    <row r="15" spans="1:6" x14ac:dyDescent="0.2">
      <c r="A15" s="341">
        <v>12</v>
      </c>
      <c r="B15" s="348" t="s">
        <v>124</v>
      </c>
      <c r="C15" s="349" t="s">
        <v>126</v>
      </c>
      <c r="D15" s="350">
        <v>5</v>
      </c>
      <c r="E15" s="352">
        <f>[1]Locations!O32</f>
        <v>50</v>
      </c>
      <c r="F15" s="303">
        <f t="shared" si="0"/>
        <v>250</v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M18" sqref="M1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0" t="s">
        <v>91</v>
      </c>
      <c r="F1" s="361"/>
      <c r="G1" s="368" t="s">
        <v>130</v>
      </c>
      <c r="H1" s="369"/>
      <c r="I1" s="364" t="s">
        <v>133</v>
      </c>
      <c r="J1" s="365"/>
      <c r="K1" s="364" t="s">
        <v>135</v>
      </c>
      <c r="L1" s="365"/>
      <c r="M1" s="364" t="s">
        <v>137</v>
      </c>
      <c r="N1" s="365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2"/>
      <c r="F2" s="363"/>
      <c r="G2" s="354" t="s">
        <v>131</v>
      </c>
      <c r="H2" s="370"/>
      <c r="I2" s="366" t="s">
        <v>134</v>
      </c>
      <c r="J2" s="367"/>
      <c r="K2" s="366" t="s">
        <v>136</v>
      </c>
      <c r="L2" s="392"/>
      <c r="M2" s="366" t="s">
        <v>136</v>
      </c>
      <c r="N2" s="392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112</v>
      </c>
      <c r="B3" s="291"/>
      <c r="C3" s="291"/>
      <c r="D3" s="292"/>
      <c r="E3" s="362"/>
      <c r="F3" s="363"/>
      <c r="G3" s="354" t="s">
        <v>132</v>
      </c>
      <c r="H3" s="355"/>
      <c r="I3" s="354" t="s">
        <v>132</v>
      </c>
      <c r="J3" s="355"/>
      <c r="K3" s="354" t="s">
        <v>132</v>
      </c>
      <c r="L3" s="355"/>
      <c r="M3" s="354" t="s">
        <v>132</v>
      </c>
      <c r="N3" s="355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8"/>
      <c r="H4" s="359"/>
      <c r="I4" s="356"/>
      <c r="J4" s="357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SIDEWALK REMOVAL</v>
      </c>
      <c r="C6" s="295" t="str">
        <f>IF(ISBLANK('Item List'!C4),"",'Item List'!C4)</f>
        <v>SF</v>
      </c>
      <c r="D6" s="296">
        <f>IF(ISBLANK('Item List'!D4),0,'Item List'!D4)</f>
        <v>25230</v>
      </c>
      <c r="E6" s="146">
        <f>IF(ISBLANK('Item List'!E4),0,'Item List'!E4)</f>
        <v>2.5</v>
      </c>
      <c r="F6" s="146">
        <f>IF(AND(ISNUMBER($D6),ISNUMBER(E6)),$D6*E6,0)</f>
        <v>63075</v>
      </c>
      <c r="G6" s="168">
        <v>1.75</v>
      </c>
      <c r="H6" s="103">
        <f>IF(AND(ISNUMBER($D6),ISNUMBER(G6)),$D6*G6,0)</f>
        <v>44152.5</v>
      </c>
      <c r="I6" s="169">
        <v>2</v>
      </c>
      <c r="J6" s="103">
        <f t="shared" ref="J6:J29" si="0">IF(AND(ISNUMBER($D6),ISNUMBER(I6)),$D6*I6,0)</f>
        <v>50460</v>
      </c>
      <c r="K6" s="169">
        <v>1.94</v>
      </c>
      <c r="L6" s="103">
        <f t="shared" ref="L6:L29" si="1">IF(AND(ISNUMBER($D6),ISNUMBER(K6)),$D6*K6,0)</f>
        <v>48946.2</v>
      </c>
      <c r="M6" s="169">
        <v>3.65</v>
      </c>
      <c r="N6" s="103">
        <f t="shared" ref="N6:N29" si="2">IF(AND(ISNUMBER($D6),ISNUMBER(M6)),$D6*M6,0)</f>
        <v>92089.5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PORTLAND CEMENT CONCRETE SIDEWALK, 4”</v>
      </c>
      <c r="C7" s="295" t="str">
        <f>IF(ISBLANK('Item List'!C5),"",'Item List'!C5)</f>
        <v>SF</v>
      </c>
      <c r="D7" s="296">
        <f>IF(ISBLANK('Item List'!D5),0,'Item List'!D5)</f>
        <v>25230</v>
      </c>
      <c r="E7" s="146">
        <f>IF(ISBLANK('Item List'!E5),0,'Item List'!E5)</f>
        <v>7.25</v>
      </c>
      <c r="F7" s="146">
        <f t="shared" ref="F7:H29" si="5">IF(AND(ISNUMBER($D7),ISNUMBER(E7)),$D7*E7,0)</f>
        <v>182917.5</v>
      </c>
      <c r="G7" s="168">
        <v>7.1</v>
      </c>
      <c r="H7" s="103">
        <f t="shared" si="5"/>
        <v>179133</v>
      </c>
      <c r="I7" s="169">
        <v>8</v>
      </c>
      <c r="J7" s="103">
        <f t="shared" si="0"/>
        <v>201840</v>
      </c>
      <c r="K7" s="169">
        <v>7.23</v>
      </c>
      <c r="L7" s="103">
        <f t="shared" si="1"/>
        <v>182412.90000000002</v>
      </c>
      <c r="M7" s="169">
        <v>6.8</v>
      </c>
      <c r="N7" s="103">
        <f t="shared" si="2"/>
        <v>171564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PORTLAND CEMENT CONCRETE DRIVEWAY APPROACH REMOVAL</v>
      </c>
      <c r="C8" s="295" t="str">
        <f>IF(ISBLANK('Item List'!C6),"",'Item List'!C6)</f>
        <v>SY</v>
      </c>
      <c r="D8" s="296">
        <f>IF(ISBLANK('Item List'!D6),0,'Item List'!D6)</f>
        <v>25</v>
      </c>
      <c r="E8" s="146">
        <f>IF(ISBLANK('Item List'!E6),0,'Item List'!E6)</f>
        <v>100</v>
      </c>
      <c r="F8" s="146">
        <f t="shared" si="5"/>
        <v>2500</v>
      </c>
      <c r="G8" s="168">
        <v>20</v>
      </c>
      <c r="H8" s="103">
        <f t="shared" si="5"/>
        <v>500</v>
      </c>
      <c r="I8" s="169">
        <v>11</v>
      </c>
      <c r="J8" s="103">
        <f t="shared" si="0"/>
        <v>275</v>
      </c>
      <c r="K8" s="169">
        <v>50.8</v>
      </c>
      <c r="L8" s="103">
        <f t="shared" si="1"/>
        <v>1270</v>
      </c>
      <c r="M8" s="169">
        <v>52</v>
      </c>
      <c r="N8" s="103">
        <f t="shared" si="2"/>
        <v>1300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P.C.C. APPROACH PAVEMENT, 6”</v>
      </c>
      <c r="C9" s="295" t="str">
        <f>IF(ISBLANK('Item List'!C7),"",'Item List'!C7)</f>
        <v>SY</v>
      </c>
      <c r="D9" s="296">
        <f>IF(ISBLANK('Item List'!D7),0,'Item List'!D7)</f>
        <v>25</v>
      </c>
      <c r="E9" s="146">
        <f>IF(ISBLANK('Item List'!E7),0,'Item List'!E7)</f>
        <v>150</v>
      </c>
      <c r="F9" s="146">
        <f t="shared" si="5"/>
        <v>3750</v>
      </c>
      <c r="G9" s="168">
        <v>70</v>
      </c>
      <c r="H9" s="103">
        <f t="shared" si="5"/>
        <v>1750</v>
      </c>
      <c r="I9" s="169">
        <v>65</v>
      </c>
      <c r="J9" s="103">
        <f t="shared" si="0"/>
        <v>1625</v>
      </c>
      <c r="K9" s="169">
        <v>100</v>
      </c>
      <c r="L9" s="103">
        <f t="shared" si="1"/>
        <v>2500</v>
      </c>
      <c r="M9" s="169">
        <v>114</v>
      </c>
      <c r="N9" s="103">
        <f t="shared" si="2"/>
        <v>2850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LF</v>
      </c>
      <c r="D10" s="296">
        <f>IF(ISBLANK('Item List'!D8),0,'Item List'!D8)</f>
        <v>375</v>
      </c>
      <c r="E10" s="146">
        <f>IF(ISBLANK('Item List'!E8),0,'Item List'!E8)</f>
        <v>25</v>
      </c>
      <c r="F10" s="146">
        <f t="shared" si="5"/>
        <v>9375</v>
      </c>
      <c r="G10" s="168">
        <v>5</v>
      </c>
      <c r="H10" s="103">
        <f t="shared" si="5"/>
        <v>1875</v>
      </c>
      <c r="I10" s="169">
        <v>5</v>
      </c>
      <c r="J10" s="103">
        <f t="shared" si="0"/>
        <v>1875</v>
      </c>
      <c r="K10" s="169">
        <v>15.95</v>
      </c>
      <c r="L10" s="103">
        <f t="shared" si="1"/>
        <v>5981.25</v>
      </c>
      <c r="M10" s="169">
        <v>17</v>
      </c>
      <c r="N10" s="103">
        <f t="shared" si="2"/>
        <v>6375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COMBINATION CONCRETE CURB AND GUTTER, TYPE M-6.18 (MODIFIED)</v>
      </c>
      <c r="C11" s="295" t="str">
        <f>IF(ISBLANK('Item List'!C9),"",'Item List'!C9)</f>
        <v>LF</v>
      </c>
      <c r="D11" s="296">
        <f>IF(ISBLANK('Item List'!D9),0,'Item List'!D9)</f>
        <v>375</v>
      </c>
      <c r="E11" s="146">
        <f>IF(ISBLANK('Item List'!E9),0,'Item List'!E9)</f>
        <v>45</v>
      </c>
      <c r="F11" s="146">
        <f t="shared" si="5"/>
        <v>16875</v>
      </c>
      <c r="G11" s="168">
        <v>39</v>
      </c>
      <c r="H11" s="103">
        <f t="shared" si="5"/>
        <v>14625</v>
      </c>
      <c r="I11" s="169">
        <v>40</v>
      </c>
      <c r="J11" s="103">
        <f t="shared" si="0"/>
        <v>15000</v>
      </c>
      <c r="K11" s="169">
        <v>43.2</v>
      </c>
      <c r="L11" s="103">
        <f t="shared" si="1"/>
        <v>16200.000000000002</v>
      </c>
      <c r="M11" s="169">
        <v>49</v>
      </c>
      <c r="N11" s="103">
        <f t="shared" si="2"/>
        <v>18375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DETECTABLE WARNINGS</v>
      </c>
      <c r="C12" s="295" t="str">
        <f>IF(ISBLANK('Item List'!C10),"",'Item List'!C10)</f>
        <v>SF</v>
      </c>
      <c r="D12" s="296">
        <f>IF(ISBLANK('Item List'!D10),0,'Item List'!D10)</f>
        <v>280</v>
      </c>
      <c r="E12" s="146">
        <f>IF(ISBLANK('Item List'!E10),0,'Item List'!E10)</f>
        <v>25</v>
      </c>
      <c r="F12" s="146">
        <f t="shared" si="5"/>
        <v>7000</v>
      </c>
      <c r="G12" s="168">
        <v>20</v>
      </c>
      <c r="H12" s="103">
        <f t="shared" si="5"/>
        <v>5600</v>
      </c>
      <c r="I12" s="169">
        <v>25</v>
      </c>
      <c r="J12" s="103">
        <f t="shared" si="0"/>
        <v>7000</v>
      </c>
      <c r="K12" s="169">
        <v>38</v>
      </c>
      <c r="L12" s="103">
        <f t="shared" si="1"/>
        <v>10640</v>
      </c>
      <c r="M12" s="169">
        <v>38</v>
      </c>
      <c r="N12" s="103">
        <f t="shared" si="2"/>
        <v>10640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LS</v>
      </c>
      <c r="D13" s="296">
        <f>IF(ISBLANK('Item List'!D11),0,'Item List'!D11)</f>
        <v>1</v>
      </c>
      <c r="E13" s="146">
        <f>IF(ISBLANK('Item List'!E11),0,'Item List'!E11)</f>
        <v>500</v>
      </c>
      <c r="F13" s="146">
        <f t="shared" si="5"/>
        <v>500</v>
      </c>
      <c r="G13" s="168">
        <v>750</v>
      </c>
      <c r="H13" s="103">
        <f t="shared" si="5"/>
        <v>750</v>
      </c>
      <c r="I13" s="169">
        <v>500</v>
      </c>
      <c r="J13" s="103">
        <f t="shared" si="0"/>
        <v>500</v>
      </c>
      <c r="K13" s="169">
        <v>31200</v>
      </c>
      <c r="L13" s="103">
        <f t="shared" si="1"/>
        <v>31200</v>
      </c>
      <c r="M13" s="169">
        <v>20650</v>
      </c>
      <c r="N13" s="103">
        <f t="shared" si="2"/>
        <v>20650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SELECTIVE ROOT PRUNING AND REMOVAL &gt;3”</v>
      </c>
      <c r="C14" s="295" t="str">
        <f>IF(ISBLANK('Item List'!C12),"",'Item List'!C12)</f>
        <v>IN DIA</v>
      </c>
      <c r="D14" s="296">
        <f>IF(ISBLANK('Item List'!D12),0,'Item List'!D12)</f>
        <v>597</v>
      </c>
      <c r="E14" s="146">
        <f>IF(ISBLANK('Item List'!E12),0,'Item List'!E12)</f>
        <v>7.5</v>
      </c>
      <c r="F14" s="146">
        <f t="shared" si="5"/>
        <v>4477.5</v>
      </c>
      <c r="G14" s="168">
        <v>3</v>
      </c>
      <c r="H14" s="103">
        <f t="shared" si="5"/>
        <v>1791</v>
      </c>
      <c r="I14" s="169">
        <v>6</v>
      </c>
      <c r="J14" s="103">
        <f t="shared" si="0"/>
        <v>3582</v>
      </c>
      <c r="K14" s="169">
        <v>7.2</v>
      </c>
      <c r="L14" s="103">
        <f t="shared" si="1"/>
        <v>4298.4000000000005</v>
      </c>
      <c r="M14" s="169">
        <v>0.01</v>
      </c>
      <c r="N14" s="103">
        <f t="shared" si="2"/>
        <v>5.97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TRAFFIC CONTROL AND PROTECTION, SPECIAL</v>
      </c>
      <c r="C15" s="295" t="str">
        <f>IF(ISBLANK('Item List'!C13),"",'Item List'!C13)</f>
        <v>LS</v>
      </c>
      <c r="D15" s="296">
        <f>IF(ISBLANK('Item List'!D13),0,'Item List'!D13)</f>
        <v>1</v>
      </c>
      <c r="E15" s="146">
        <f>IF(ISBLANK('Item List'!E13),0,'Item List'!E13)</f>
        <v>1000</v>
      </c>
      <c r="F15" s="146">
        <f t="shared" si="5"/>
        <v>1000</v>
      </c>
      <c r="G15" s="168">
        <v>250</v>
      </c>
      <c r="H15" s="103">
        <f t="shared" si="5"/>
        <v>250</v>
      </c>
      <c r="I15" s="169">
        <v>500</v>
      </c>
      <c r="J15" s="103">
        <f t="shared" si="0"/>
        <v>500</v>
      </c>
      <c r="K15" s="169">
        <v>5913</v>
      </c>
      <c r="L15" s="103">
        <f t="shared" si="1"/>
        <v>5913</v>
      </c>
      <c r="M15" s="169">
        <v>40000</v>
      </c>
      <c r="N15" s="103">
        <f t="shared" si="2"/>
        <v>40000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 xml:space="preserve">ASPHALT REMOVAL </v>
      </c>
      <c r="C16" s="295" t="str">
        <f>IF(ISBLANK('Item List'!C14),"",'Item List'!C14)</f>
        <v>SY</v>
      </c>
      <c r="D16" s="296">
        <f>IF(ISBLANK('Item List'!D14),0,'Item List'!D14)</f>
        <v>5</v>
      </c>
      <c r="E16" s="146">
        <f>IF(ISBLANK('Item List'!E14),0,'Item List'!E14)</f>
        <v>20</v>
      </c>
      <c r="F16" s="146">
        <f t="shared" si="5"/>
        <v>100</v>
      </c>
      <c r="G16" s="168">
        <v>20</v>
      </c>
      <c r="H16" s="103">
        <f t="shared" si="5"/>
        <v>100</v>
      </c>
      <c r="I16" s="170">
        <v>120</v>
      </c>
      <c r="J16" s="103">
        <f t="shared" si="0"/>
        <v>600</v>
      </c>
      <c r="K16" s="170">
        <v>97.45</v>
      </c>
      <c r="L16" s="103">
        <f t="shared" si="1"/>
        <v>487.25</v>
      </c>
      <c r="M16" s="170">
        <v>100</v>
      </c>
      <c r="N16" s="103">
        <f t="shared" si="2"/>
        <v>500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HOT MIX ASPHALT</v>
      </c>
      <c r="C17" s="295" t="str">
        <f>IF(ISBLANK('Item List'!C15),"",'Item List'!C15)</f>
        <v>SY</v>
      </c>
      <c r="D17" s="296">
        <f>IF(ISBLANK('Item List'!D15),0,'Item List'!D15)</f>
        <v>5</v>
      </c>
      <c r="E17" s="146">
        <f>IF(ISBLANK('Item List'!E15),0,'Item List'!E15)</f>
        <v>50</v>
      </c>
      <c r="F17" s="146">
        <f t="shared" si="5"/>
        <v>250</v>
      </c>
      <c r="G17" s="168">
        <v>75</v>
      </c>
      <c r="H17" s="103">
        <f t="shared" si="5"/>
        <v>375</v>
      </c>
      <c r="I17" s="170">
        <v>250</v>
      </c>
      <c r="J17" s="103">
        <f t="shared" si="0"/>
        <v>1250</v>
      </c>
      <c r="K17" s="170">
        <v>200</v>
      </c>
      <c r="L17" s="103">
        <f t="shared" si="1"/>
        <v>1000</v>
      </c>
      <c r="M17" s="170">
        <v>500</v>
      </c>
      <c r="N17" s="103">
        <f t="shared" si="2"/>
        <v>2500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291820</v>
      </c>
      <c r="G30" s="110"/>
      <c r="H30" s="104">
        <f>IF(SUM(H6:H29)=0,"",SUM(H6:H29))</f>
        <v>250901.5</v>
      </c>
      <c r="I30" s="110"/>
      <c r="J30" s="104">
        <f>IF(SUM(J6:J29)=0,"",SUM(J6:J29))</f>
        <v>284507</v>
      </c>
      <c r="K30" s="110"/>
      <c r="L30" s="104">
        <f>IF(SUM(L6:L29)=0,"",SUM(L6:L29))</f>
        <v>310849.00000000006</v>
      </c>
      <c r="M30" s="110"/>
      <c r="N30" s="104">
        <f>IF(SUM(N6:N29)=0,"",SUM(N6:N29))</f>
        <v>366849.47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Norwest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291820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250901.5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284507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310849.00000000006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366849.47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Norwest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Norwest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Norwest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Norwest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Norwest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Norwest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Norwest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Norwest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Norwest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Norwest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Norwest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Norwest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 Wide Sidewalk &amp; ADA Repairs Package #2 2023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SIDEWALK REMOVAL</v>
      </c>
      <c r="C5" s="145" t="str">
        <f>'Tabulation of Bids'!C6</f>
        <v>SF</v>
      </c>
      <c r="D5" s="145">
        <f>'Tabulation of Bids'!D6</f>
        <v>25230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PORTLAND CEMENT CONCRETE SIDEWALK, 4”</v>
      </c>
      <c r="C6" s="145" t="str">
        <f>'Tabulation of Bids'!C7</f>
        <v>SF</v>
      </c>
      <c r="D6" s="145">
        <f>'Tabulation of Bids'!D7</f>
        <v>25230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PORTLAND CEMENT CONCRETE DRIVEWAY APPROACH REMOVAL</v>
      </c>
      <c r="C7" s="145" t="str">
        <f>'Tabulation of Bids'!C8</f>
        <v>SY</v>
      </c>
      <c r="D7" s="145">
        <f>'Tabulation of Bids'!D8</f>
        <v>25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P.C.C. APPROACH PAVEMENT, 6”</v>
      </c>
      <c r="C8" s="145" t="str">
        <f>'Tabulation of Bids'!C9</f>
        <v>SY</v>
      </c>
      <c r="D8" s="145">
        <f>'Tabulation of Bids'!D9</f>
        <v>25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375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CONCRETE CURB AND GUTTER, TYPE M-6.18 (MODIFIED)</v>
      </c>
      <c r="C10" s="145" t="str">
        <f>'Tabulation of Bids'!C11</f>
        <v>LF</v>
      </c>
      <c r="D10" s="145">
        <f>'Tabulation of Bids'!D11</f>
        <v>375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DETECTABLE WARNINGS</v>
      </c>
      <c r="C11" s="145" t="str">
        <f>'Tabulation of Bids'!C12</f>
        <v>SF</v>
      </c>
      <c r="D11" s="145">
        <f>'Tabulation of Bids'!D12</f>
        <v>280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SELECTIVE ROOT PRUNING AND REMOVAL &gt;3”</v>
      </c>
      <c r="C13" s="145" t="str">
        <f>'Tabulation of Bids'!C14</f>
        <v>IN DIA</v>
      </c>
      <c r="D13" s="145">
        <f>'Tabulation of Bids'!D14</f>
        <v>597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TRAFFIC CONTROL AND PROTECTION, SPECIAL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ASPHALT REMOVAL </v>
      </c>
      <c r="C15" s="145" t="str">
        <f>'Tabulation of Bids'!C16</f>
        <v>SY</v>
      </c>
      <c r="D15" s="145">
        <f>'Tabulation of Bids'!D16</f>
        <v>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HOT MIX ASPHALT</v>
      </c>
      <c r="C16" s="145" t="str">
        <f>'Tabulation of Bids'!C17</f>
        <v>SY</v>
      </c>
      <c r="D16" s="145">
        <f>'Tabulation of Bids'!D17</f>
        <v>5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5"/>
      <c r="F2" s="376"/>
    </row>
    <row r="3" spans="1:6" s="98" customFormat="1" ht="15.75" customHeight="1" x14ac:dyDescent="0.2">
      <c r="A3" s="123"/>
      <c r="B3" s="126"/>
      <c r="C3" s="125" t="s">
        <v>14</v>
      </c>
      <c r="D3" s="377" t="s">
        <v>15</v>
      </c>
      <c r="E3" s="377"/>
      <c r="F3" s="378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3" t="str">
        <f>'Tabulation of Bids'!$A$3</f>
        <v>City Wide Sidewalk &amp; ADA Repairs Package #2 2023</v>
      </c>
      <c r="E4" s="373"/>
      <c r="F4" s="374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SIDEWALK REMOVAL</v>
      </c>
      <c r="C16" s="96" t="str">
        <f>'Tabulation of Bids'!$C6</f>
        <v>SF</v>
      </c>
      <c r="D16" s="211">
        <f>'Tabulation of Bids'!$D6</f>
        <v>25230</v>
      </c>
      <c r="E16" s="246">
        <f>'Tabulation of Bids'!$E6</f>
        <v>2.5</v>
      </c>
      <c r="F16" s="327">
        <f>D16*E16</f>
        <v>63075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PORTLAND CEMENT CONCRETE SIDEWALK, 4”</v>
      </c>
      <c r="C17" s="96" t="str">
        <f>'Tabulation of Bids'!$C7</f>
        <v>SF</v>
      </c>
      <c r="D17" s="97">
        <f>'Tabulation of Bids'!$D7</f>
        <v>25230</v>
      </c>
      <c r="E17" s="241">
        <f>'Tabulation of Bids'!$E7</f>
        <v>7.25</v>
      </c>
      <c r="F17" s="328">
        <f t="shared" ref="F17:F32" si="0">D17*E17</f>
        <v>182917.5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PORTLAND CEMENT CONCRETE DRIVEWAY APPROACH REMOVAL</v>
      </c>
      <c r="C18" s="96" t="str">
        <f>'Tabulation of Bids'!$C8</f>
        <v>SY</v>
      </c>
      <c r="D18" s="97">
        <f>'Tabulation of Bids'!$D8</f>
        <v>25</v>
      </c>
      <c r="E18" s="241">
        <f>'Tabulation of Bids'!$E8</f>
        <v>100</v>
      </c>
      <c r="F18" s="328">
        <f t="shared" si="0"/>
        <v>2500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P.C.C. APPROACH PAVEMENT, 6”</v>
      </c>
      <c r="C19" s="96" t="str">
        <f>'Tabulation of Bids'!$C9</f>
        <v>SY</v>
      </c>
      <c r="D19" s="97">
        <f>'Tabulation of Bids'!$D9</f>
        <v>25</v>
      </c>
      <c r="E19" s="241">
        <f>'Tabulation of Bids'!$E9</f>
        <v>150</v>
      </c>
      <c r="F19" s="328">
        <f t="shared" si="0"/>
        <v>3750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375</v>
      </c>
      <c r="E20" s="241">
        <f>'Tabulation of Bids'!$E10</f>
        <v>25</v>
      </c>
      <c r="F20" s="328">
        <f t="shared" si="0"/>
        <v>9375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CONCRETE CURB AND GUTTER, TYPE M-6.18 (MODIFIED)</v>
      </c>
      <c r="C21" s="96" t="str">
        <f>'Tabulation of Bids'!$C11</f>
        <v>LF</v>
      </c>
      <c r="D21" s="97">
        <f>'Tabulation of Bids'!$D11</f>
        <v>375</v>
      </c>
      <c r="E21" s="241">
        <f>'Tabulation of Bids'!$E11</f>
        <v>45</v>
      </c>
      <c r="F21" s="328">
        <f t="shared" si="0"/>
        <v>16875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DETECTABLE WARNINGS</v>
      </c>
      <c r="C22" s="96" t="str">
        <f>'Tabulation of Bids'!$C12</f>
        <v>SF</v>
      </c>
      <c r="D22" s="97">
        <f>'Tabulation of Bids'!$D12</f>
        <v>280</v>
      </c>
      <c r="E22" s="241">
        <f>'Tabulation of Bids'!$E12</f>
        <v>25</v>
      </c>
      <c r="F22" s="328">
        <f t="shared" si="0"/>
        <v>7000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LS</v>
      </c>
      <c r="D23" s="97">
        <f>'Tabulation of Bids'!$D13</f>
        <v>1</v>
      </c>
      <c r="E23" s="241">
        <f>'Tabulation of Bids'!$E13</f>
        <v>500</v>
      </c>
      <c r="F23" s="328">
        <f t="shared" si="0"/>
        <v>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SELECTIVE ROOT PRUNING AND REMOVAL &gt;3”</v>
      </c>
      <c r="C24" s="96" t="str">
        <f>'Tabulation of Bids'!$C14</f>
        <v>IN DIA</v>
      </c>
      <c r="D24" s="97">
        <f>'Tabulation of Bids'!$D14</f>
        <v>597</v>
      </c>
      <c r="E24" s="241">
        <f>'Tabulation of Bids'!$E14</f>
        <v>7.5</v>
      </c>
      <c r="F24" s="328">
        <f t="shared" si="0"/>
        <v>4477.5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TRAFFIC CONTROL AND PROTECTION, SPECIAL</v>
      </c>
      <c r="C25" s="96" t="str">
        <f>'Tabulation of Bids'!$C15</f>
        <v>LS</v>
      </c>
      <c r="D25" s="97">
        <f>'Tabulation of Bids'!$D15</f>
        <v>1</v>
      </c>
      <c r="E25" s="241">
        <f>'Tabulation of Bids'!$E15</f>
        <v>1000</v>
      </c>
      <c r="F25" s="328">
        <f t="shared" si="0"/>
        <v>1000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ASPHALT REMOVAL </v>
      </c>
      <c r="C26" s="96" t="str">
        <f>'Tabulation of Bids'!$C16</f>
        <v>SY</v>
      </c>
      <c r="D26" s="97">
        <f>'Tabulation of Bids'!$D16</f>
        <v>5</v>
      </c>
      <c r="E26" s="241">
        <f>'Tabulation of Bids'!$E16</f>
        <v>20</v>
      </c>
      <c r="F26" s="328">
        <f t="shared" si="0"/>
        <v>100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HOT MIX ASPHALT</v>
      </c>
      <c r="C27" s="96" t="str">
        <f>'Tabulation of Bids'!$C17</f>
        <v>SY</v>
      </c>
      <c r="D27" s="97">
        <f>'Tabulation of Bids'!$D17</f>
        <v>5</v>
      </c>
      <c r="E27" s="241">
        <f>'Tabulation of Bids'!$E17</f>
        <v>50</v>
      </c>
      <c r="F27" s="328">
        <f t="shared" si="0"/>
        <v>250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291820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1">
        <f>E2</f>
        <v>0</v>
      </c>
      <c r="F47" s="372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3" t="str">
        <f>D4</f>
        <v>City Wide Sidewalk &amp; ADA Repairs Package #2 2023</v>
      </c>
      <c r="E49" s="373"/>
      <c r="F49" s="374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291820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1">
        <f>E47</f>
        <v>0</v>
      </c>
      <c r="F92" s="372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3" t="str">
        <f>D49</f>
        <v>City Wide Sidewalk &amp; ADA Repairs Package #2 2023</v>
      </c>
      <c r="E94" s="373"/>
      <c r="F94" s="374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291820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1">
        <f>E92</f>
        <v>0</v>
      </c>
      <c r="F137" s="372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3" t="str">
        <f>D94</f>
        <v>City Wide Sidewalk &amp; ADA Repairs Package #2 2023</v>
      </c>
      <c r="E139" s="373"/>
      <c r="F139" s="374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291820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1">
        <f>E137</f>
        <v>0</v>
      </c>
      <c r="F182" s="372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3" t="str">
        <f>D139</f>
        <v>City Wide Sidewalk &amp; ADA Repairs Package #2 2023</v>
      </c>
      <c r="E184" s="373"/>
      <c r="F184" s="374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291820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1">
        <f>E182</f>
        <v>0</v>
      </c>
      <c r="F227" s="372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3" t="str">
        <f>D184</f>
        <v>City Wide Sidewalk &amp; ADA Repairs Package #2 2023</v>
      </c>
      <c r="E229" s="373"/>
      <c r="F229" s="374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291820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1">
        <f>E227</f>
        <v>0</v>
      </c>
      <c r="F272" s="372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3" t="str">
        <f>D229</f>
        <v>City Wide Sidewalk &amp; ADA Repairs Package #2 2023</v>
      </c>
      <c r="E274" s="373"/>
      <c r="F274" s="374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291820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1">
        <f>E272</f>
        <v>0</v>
      </c>
      <c r="F317" s="372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3" t="str">
        <f>D274</f>
        <v>City Wide Sidewalk &amp; ADA Repairs Package #2 2023</v>
      </c>
      <c r="E319" s="373"/>
      <c r="F319" s="374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291820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1">
        <f>E317</f>
        <v>0</v>
      </c>
      <c r="F362" s="372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3" t="str">
        <f>D319</f>
        <v>City Wide Sidewalk &amp; ADA Repairs Package #2 2023</v>
      </c>
      <c r="E364" s="373"/>
      <c r="F364" s="374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291820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1">
        <f>E362</f>
        <v>0</v>
      </c>
      <c r="F407" s="372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3" t="str">
        <f>D364</f>
        <v>City Wide Sidewalk &amp; ADA Repairs Package #2 2023</v>
      </c>
      <c r="E409" s="373"/>
      <c r="F409" s="374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291820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1">
        <f>E407</f>
        <v>0</v>
      </c>
      <c r="F452" s="372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3" t="str">
        <f>D409</f>
        <v>City Wide Sidewalk &amp; ADA Repairs Package #2 2023</v>
      </c>
      <c r="E454" s="373"/>
      <c r="F454" s="374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291820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1">
        <f>E452</f>
        <v>0</v>
      </c>
      <c r="F497" s="372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3" t="str">
        <f>D454</f>
        <v>City Wide Sidewalk &amp; ADA Repairs Package #2 2023</v>
      </c>
      <c r="E499" s="373"/>
      <c r="F499" s="374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291820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1" t="str">
        <f>IF(A55="",IF(ISNUMBER(J37),"ENGINEER'S PAYMENT ESTIMATE","ENGINEER'S FINAL PAYMENT ESTIMATE"),A49)</f>
        <v>ENGINEER'S FINAL PAYMENT ESTIMATE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Norwest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South Beloit, IL Bid Bond</v>
      </c>
      <c r="C4" s="12"/>
      <c r="D4" s="12"/>
      <c r="E4" s="12"/>
      <c r="F4" s="12"/>
      <c r="G4" s="12"/>
      <c r="H4" s="14"/>
      <c r="I4" s="379"/>
      <c r="J4" s="379"/>
      <c r="K4" s="37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SIDEWALK REMOVAL</v>
      </c>
      <c r="C7" s="307">
        <f>IF('Tabulation of Bids'!D6=0,"",'Tabulation of Bids'!D6)</f>
        <v>25230</v>
      </c>
      <c r="D7" s="308" t="str">
        <f>IF(ISBLANK('Tabulation of Bids'!C6),"",'Tabulation of Bids'!C6)</f>
        <v>SF</v>
      </c>
      <c r="E7" s="263">
        <f>IF(J7 = "","",J7*C7)</f>
        <v>44152.5</v>
      </c>
      <c r="F7" s="264" t="str">
        <f t="shared" ref="F7:F23" si="0">IF((H7&gt;C7),H7-C7,"")</f>
        <v/>
      </c>
      <c r="G7" s="296">
        <f t="shared" ref="G7:G30" si="1">IF($K$48="BLR 6303",IF(C7&gt;H7,C7-H7,""),"")</f>
        <v>25230</v>
      </c>
      <c r="H7" s="167"/>
      <c r="I7" s="136" t="str">
        <f>IF(ISBLANK(H7),"",D7)</f>
        <v/>
      </c>
      <c r="J7" s="134">
        <f>IF(ISBLANK('Tabulation of Bids'!G6),"",'Tabulation of Bids'!G6)</f>
        <v>1.75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PORTLAND CEMENT CONCRETE SIDEWALK, 4”</v>
      </c>
      <c r="C8" s="307">
        <f>IF('Tabulation of Bids'!D7=0,"",'Tabulation of Bids'!D7)</f>
        <v>25230</v>
      </c>
      <c r="D8" s="311" t="str">
        <f>IF(ISBLANK('Tabulation of Bids'!C7),"",'Tabulation of Bids'!C7)</f>
        <v>SF</v>
      </c>
      <c r="E8" s="267">
        <f t="shared" ref="E8:E23" si="2">IF(J8 = "","",J8*C8)</f>
        <v>179133</v>
      </c>
      <c r="F8" s="268" t="str">
        <f t="shared" si="0"/>
        <v/>
      </c>
      <c r="G8" s="296">
        <f t="shared" si="1"/>
        <v>25230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7.1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PORTLAND CEMENT CONCRETE DRIVEWAY APPROACH REMOVAL</v>
      </c>
      <c r="C9" s="307">
        <f>IF('Tabulation of Bids'!D8=0,"",'Tabulation of Bids'!D8)</f>
        <v>25</v>
      </c>
      <c r="D9" s="311" t="str">
        <f>IF(ISBLANK('Tabulation of Bids'!C8),"",'Tabulation of Bids'!C8)</f>
        <v>SY</v>
      </c>
      <c r="E9" s="267">
        <f t="shared" si="2"/>
        <v>500</v>
      </c>
      <c r="F9" s="268" t="str">
        <f t="shared" si="0"/>
        <v/>
      </c>
      <c r="G9" s="296">
        <f t="shared" si="1"/>
        <v>25</v>
      </c>
      <c r="H9" s="167"/>
      <c r="I9" s="136" t="str">
        <f t="shared" si="3"/>
        <v/>
      </c>
      <c r="J9" s="134">
        <f>IF(ISBLANK('Tabulation of Bids'!G8),"",'Tabulation of Bids'!G8)</f>
        <v>20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P.C.C. APPROACH PAVEMENT, 6”</v>
      </c>
      <c r="C10" s="307">
        <f>IF('Tabulation of Bids'!D9=0,"",'Tabulation of Bids'!D9)</f>
        <v>25</v>
      </c>
      <c r="D10" s="311" t="str">
        <f>IF(ISBLANK('Tabulation of Bids'!C9),"",'Tabulation of Bids'!C9)</f>
        <v>SY</v>
      </c>
      <c r="E10" s="267">
        <f t="shared" si="2"/>
        <v>1750</v>
      </c>
      <c r="F10" s="268" t="str">
        <f t="shared" si="0"/>
        <v/>
      </c>
      <c r="G10" s="296">
        <f t="shared" si="1"/>
        <v>25</v>
      </c>
      <c r="H10" s="167"/>
      <c r="I10" s="136" t="str">
        <f t="shared" si="3"/>
        <v/>
      </c>
      <c r="J10" s="134">
        <f>IF(ISBLANK('Tabulation of Bids'!G9),"",'Tabulation of Bids'!G9)</f>
        <v>70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COMBINATION CURB AND GUTTER REMOVAL</v>
      </c>
      <c r="C11" s="307">
        <f>IF('Tabulation of Bids'!D10=0,"",'Tabulation of Bids'!D10)</f>
        <v>375</v>
      </c>
      <c r="D11" s="311" t="str">
        <f>IF(ISBLANK('Tabulation of Bids'!C10),"",'Tabulation of Bids'!C10)</f>
        <v>LF</v>
      </c>
      <c r="E11" s="267">
        <f t="shared" si="2"/>
        <v>1875</v>
      </c>
      <c r="F11" s="268" t="str">
        <f t="shared" si="0"/>
        <v/>
      </c>
      <c r="G11" s="296">
        <f t="shared" si="1"/>
        <v>375</v>
      </c>
      <c r="H11" s="167"/>
      <c r="I11" s="136" t="str">
        <f t="shared" si="3"/>
        <v/>
      </c>
      <c r="J11" s="134">
        <f>IF(ISBLANK('Tabulation of Bids'!G10),"",'Tabulation of Bids'!G10)</f>
        <v>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COMBINATION CONCRETE CURB AND GUTTER, TYPE M-6.18 (MODIFIED)</v>
      </c>
      <c r="C12" s="307">
        <f>IF('Tabulation of Bids'!D11=0,"",'Tabulation of Bids'!D11)</f>
        <v>375</v>
      </c>
      <c r="D12" s="311" t="str">
        <f>IF(ISBLANK('Tabulation of Bids'!C11),"",'Tabulation of Bids'!C11)</f>
        <v>LF</v>
      </c>
      <c r="E12" s="267">
        <f t="shared" si="2"/>
        <v>14625</v>
      </c>
      <c r="F12" s="268" t="str">
        <f t="shared" si="0"/>
        <v/>
      </c>
      <c r="G12" s="296">
        <f t="shared" si="1"/>
        <v>375</v>
      </c>
      <c r="H12" s="167"/>
      <c r="I12" s="136" t="str">
        <f t="shared" si="3"/>
        <v/>
      </c>
      <c r="J12" s="134">
        <f>IF(ISBLANK('Tabulation of Bids'!G11),"",'Tabulation of Bids'!G11)</f>
        <v>39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DETECTABLE WARNINGS</v>
      </c>
      <c r="C13" s="307">
        <f>IF('Tabulation of Bids'!D12=0,"",'Tabulation of Bids'!D12)</f>
        <v>280</v>
      </c>
      <c r="D13" s="311" t="str">
        <f>IF(ISBLANK('Tabulation of Bids'!C12),"",'Tabulation of Bids'!C12)</f>
        <v>SF</v>
      </c>
      <c r="E13" s="267">
        <f t="shared" si="2"/>
        <v>5600</v>
      </c>
      <c r="F13" s="268" t="str">
        <f t="shared" si="0"/>
        <v/>
      </c>
      <c r="G13" s="296">
        <f t="shared" si="1"/>
        <v>280</v>
      </c>
      <c r="H13" s="167"/>
      <c r="I13" s="136" t="str">
        <f t="shared" si="3"/>
        <v/>
      </c>
      <c r="J13" s="134">
        <f>IF(ISBLANK('Tabulation of Bids'!G12),"",'Tabulation of Bids'!G12)</f>
        <v>20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LS</v>
      </c>
      <c r="E14" s="267">
        <f t="shared" si="2"/>
        <v>750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750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SELECTIVE ROOT PRUNING AND REMOVAL &gt;3”</v>
      </c>
      <c r="C15" s="307">
        <f>IF('Tabulation of Bids'!D14=0,"",'Tabulation of Bids'!D14)</f>
        <v>597</v>
      </c>
      <c r="D15" s="311" t="str">
        <f>IF(ISBLANK('Tabulation of Bids'!C14),"",'Tabulation of Bids'!C14)</f>
        <v>IN DIA</v>
      </c>
      <c r="E15" s="267">
        <f t="shared" si="2"/>
        <v>1791</v>
      </c>
      <c r="F15" s="268" t="str">
        <f t="shared" si="0"/>
        <v/>
      </c>
      <c r="G15" s="296">
        <f t="shared" si="1"/>
        <v>597</v>
      </c>
      <c r="H15" s="167"/>
      <c r="I15" s="136" t="str">
        <f t="shared" si="3"/>
        <v/>
      </c>
      <c r="J15" s="134">
        <f>IF(ISBLANK('Tabulation of Bids'!G14),"",'Tabulation of Bids'!G14)</f>
        <v>3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TRAFFIC CONTROL AND PROTECTION, SPECIAL</v>
      </c>
      <c r="C16" s="307">
        <f>IF('Tabulation of Bids'!D15=0,"",'Tabulation of Bids'!D15)</f>
        <v>1</v>
      </c>
      <c r="D16" s="311" t="str">
        <f>IF(ISBLANK('Tabulation of Bids'!C15),"",'Tabulation of Bids'!C15)</f>
        <v>LS</v>
      </c>
      <c r="E16" s="267">
        <f t="shared" si="2"/>
        <v>250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250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ASPHALT REMOVAL </v>
      </c>
      <c r="C17" s="307">
        <f>IF('Tabulation of Bids'!D16=0,"",'Tabulation of Bids'!D16)</f>
        <v>5</v>
      </c>
      <c r="D17" s="311" t="str">
        <f>IF(ISBLANK('Tabulation of Bids'!C16),"",'Tabulation of Bids'!C16)</f>
        <v>SY</v>
      </c>
      <c r="E17" s="267">
        <f t="shared" si="2"/>
        <v>100</v>
      </c>
      <c r="F17" s="268" t="str">
        <f t="shared" si="0"/>
        <v/>
      </c>
      <c r="G17" s="296">
        <f t="shared" si="1"/>
        <v>5</v>
      </c>
      <c r="H17" s="167"/>
      <c r="I17" s="136" t="str">
        <f t="shared" si="3"/>
        <v/>
      </c>
      <c r="J17" s="134">
        <f>IF(ISBLANK('Tabulation of Bids'!G16),"",'Tabulation of Bids'!G16)</f>
        <v>20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HOT MIX ASPHALT</v>
      </c>
      <c r="C18" s="307">
        <f>IF('Tabulation of Bids'!D17=0,"",'Tabulation of Bids'!D17)</f>
        <v>5</v>
      </c>
      <c r="D18" s="311" t="str">
        <f>IF(ISBLANK('Tabulation of Bids'!C17),"",'Tabulation of Bids'!C17)</f>
        <v>SY</v>
      </c>
      <c r="E18" s="267">
        <f t="shared" si="2"/>
        <v>375</v>
      </c>
      <c r="F18" s="268" t="str">
        <f t="shared" si="0"/>
        <v/>
      </c>
      <c r="G18" s="296">
        <f t="shared" si="1"/>
        <v>5</v>
      </c>
      <c r="H18" s="167"/>
      <c r="I18" s="136" t="str">
        <f t="shared" si="3"/>
        <v/>
      </c>
      <c r="J18" s="134">
        <f>IF(ISBLANK('Tabulation of Bids'!G17),"",'Tabulation of Bids'!G17)</f>
        <v>75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250901.5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1" t="str">
        <f>IF(A104="",IF(ISNUMBER(J86),"ENGINEER'S PAYMENT ESTIMATE","ENGINEER'S FINAL PAYMENT ESTIMATE"),A98)</f>
        <v>ENGINEER'S FINAL PAYMENT ESTIMATE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Norwest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South Beloit, IL Bid Bond</v>
      </c>
      <c r="C52" s="12"/>
      <c r="D52" s="12"/>
      <c r="E52" s="12"/>
      <c r="F52" s="12"/>
      <c r="G52" s="12"/>
      <c r="H52" s="14"/>
      <c r="I52" s="379"/>
      <c r="J52" s="379"/>
      <c r="K52" s="379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250901.5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0" t="str">
        <f>IF(A153="",IF(ISNUMBER(J135),"ENGINEER'S PAYMENT ESTIMATE","ENGINEER'S FINAL PAYMENT ESTIMATE"),A147)</f>
        <v>ENGINEER'S FINAL PAYMENT ESTIMATE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Norwest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South Beloit, IL Bid Bond</v>
      </c>
      <c r="C101" s="12"/>
      <c r="D101" s="12"/>
      <c r="E101" s="12"/>
      <c r="F101" s="12"/>
      <c r="G101" s="12"/>
      <c r="H101" s="14"/>
      <c r="I101" s="379"/>
      <c r="J101" s="379"/>
      <c r="K101" s="379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250901.5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0" t="str">
        <f>IF(A202="",IF(ISNUMBER(J184),"ENGINEER'S PAYMENT ESTIMATE","ENGINEER'S FINAL PAYMENT ESTIMATE"),A196)</f>
        <v>ENGINEER'S FINAL PAYMENT ESTIMATE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Norwest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South Beloit, IL Bid Bond</v>
      </c>
      <c r="C150" s="12"/>
      <c r="D150" s="12"/>
      <c r="E150" s="12"/>
      <c r="F150" s="12"/>
      <c r="G150" s="12"/>
      <c r="H150" s="14"/>
      <c r="I150" s="379"/>
      <c r="J150" s="379"/>
      <c r="K150" s="379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250901.5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0" t="str">
        <f>IF(A251="",IF(ISNUMBER(J233),"ENGINEER'S PAYMENT ESTIMATE","ENGINEER'S FINAL PAYMENT ESTIMATE"),A245)</f>
        <v>ENGINEER'S FINAL PAYMENT ESTIMATE</v>
      </c>
      <c r="B196" s="380"/>
      <c r="C196" s="380"/>
      <c r="D196" s="380"/>
      <c r="E196" s="380"/>
      <c r="F196" s="380"/>
      <c r="G196" s="380"/>
      <c r="H196" s="380"/>
      <c r="I196" s="380"/>
      <c r="J196" s="380"/>
      <c r="K196" s="380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Norwest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South Beloit, IL Bid Bond</v>
      </c>
      <c r="C199" s="12"/>
      <c r="D199" s="12"/>
      <c r="E199" s="12"/>
      <c r="F199" s="12"/>
      <c r="G199" s="12"/>
      <c r="H199" s="14"/>
      <c r="I199" s="379"/>
      <c r="J199" s="379"/>
      <c r="K199" s="379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752704.5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0" t="str">
        <f>IF(A300="",IF(ISNUMBER(J282),"ENGINEER'S PAYMENT ESTIMATE","ENGINEER'S FINAL PAYMENT ESTIMATE"),A294)</f>
        <v>ENGINEER'S FINAL PAYMENT ESTIMATE</v>
      </c>
      <c r="B245" s="380"/>
      <c r="C245" s="380"/>
      <c r="D245" s="380"/>
      <c r="E245" s="380"/>
      <c r="F245" s="380"/>
      <c r="G245" s="380"/>
      <c r="H245" s="380"/>
      <c r="I245" s="380"/>
      <c r="J245" s="380"/>
      <c r="K245" s="380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Norwest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South Beloit, IL Bid Bond</v>
      </c>
      <c r="C248" s="12"/>
      <c r="D248" s="12"/>
      <c r="E248" s="12"/>
      <c r="F248" s="12"/>
      <c r="G248" s="12"/>
      <c r="H248" s="14"/>
      <c r="I248" s="379"/>
      <c r="J248" s="379"/>
      <c r="K248" s="379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1254507.5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0" t="str">
        <f>IF(A349="",IF(ISNUMBER(J331),"ENGINEER'S PAYMENT ESTIMATE","ENGINEER'S FINAL PAYMENT ESTIMATE"),A343)</f>
        <v>ENGINEER'S FINAL PAYMENT ESTIMATE</v>
      </c>
      <c r="B294" s="380"/>
      <c r="C294" s="380"/>
      <c r="D294" s="380"/>
      <c r="E294" s="380"/>
      <c r="F294" s="380"/>
      <c r="G294" s="380"/>
      <c r="H294" s="380"/>
      <c r="I294" s="380"/>
      <c r="J294" s="380"/>
      <c r="K294" s="380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Norwest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South Beloit, IL Bid Bond</v>
      </c>
      <c r="C297" s="12"/>
      <c r="D297" s="12"/>
      <c r="E297" s="12"/>
      <c r="F297" s="12"/>
      <c r="G297" s="12"/>
      <c r="H297" s="14"/>
      <c r="I297" s="379"/>
      <c r="J297" s="379"/>
      <c r="K297" s="379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2258113.5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0" t="str">
        <f>IF(A398="",IF(ISNUMBER(J380),"ENGINEER'S PAYMENT ESTIMATE","ENGINEER'S FINAL PAYMENT ESTIMATE"),A392)</f>
        <v>ENGINEER'S FINAL PAYMENT ESTIMATE</v>
      </c>
      <c r="B343" s="380"/>
      <c r="C343" s="380"/>
      <c r="D343" s="380"/>
      <c r="E343" s="380"/>
      <c r="F343" s="380"/>
      <c r="G343" s="380"/>
      <c r="H343" s="380"/>
      <c r="I343" s="380"/>
      <c r="J343" s="380"/>
      <c r="K343" s="380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Norwest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South Beloit, IL Bid Bond</v>
      </c>
      <c r="C346" s="12"/>
      <c r="D346" s="12"/>
      <c r="E346" s="12"/>
      <c r="F346" s="12"/>
      <c r="G346" s="12"/>
      <c r="H346" s="14"/>
      <c r="I346" s="379"/>
      <c r="J346" s="379"/>
      <c r="K346" s="379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4265325.5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0" t="str">
        <f>IF(A447="",IF(ISNUMBER(J429),"ENGINEER'S PAYMENT ESTIMATE","ENGINEER'S FINAL PAYMENT ESTIMATE"),A441)</f>
        <v>ENGINEER'S FINAL PAYMENT ESTIMATE</v>
      </c>
      <c r="B392" s="380"/>
      <c r="C392" s="380"/>
      <c r="D392" s="380"/>
      <c r="E392" s="380"/>
      <c r="F392" s="380"/>
      <c r="G392" s="380"/>
      <c r="H392" s="380"/>
      <c r="I392" s="380"/>
      <c r="J392" s="380"/>
      <c r="K392" s="380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Norwest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South Beloit, IL Bid Bond</v>
      </c>
      <c r="C395" s="12"/>
      <c r="D395" s="12"/>
      <c r="E395" s="12"/>
      <c r="F395" s="12"/>
      <c r="G395" s="12"/>
      <c r="H395" s="14"/>
      <c r="I395" s="379"/>
      <c r="J395" s="379"/>
      <c r="K395" s="379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7777946.5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0" t="str">
        <f>IF(A496="",IF(ISNUMBER(J478),"ENGINEER'S PAYMENT ESTIMATE","ENGINEER'S FINAL PAYMENT ESTIMATE"),A490)</f>
        <v>ENGINEER'S FINAL PAYMENT ESTIMATE</v>
      </c>
      <c r="B441" s="380"/>
      <c r="C441" s="380"/>
      <c r="D441" s="380"/>
      <c r="E441" s="380"/>
      <c r="F441" s="380"/>
      <c r="G441" s="380"/>
      <c r="H441" s="380"/>
      <c r="I441" s="380"/>
      <c r="J441" s="380"/>
      <c r="K441" s="380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Norwest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South Beloit, IL Bid Bond</v>
      </c>
      <c r="C444" s="12"/>
      <c r="D444" s="12"/>
      <c r="E444" s="12"/>
      <c r="F444" s="12"/>
      <c r="G444" s="12"/>
      <c r="H444" s="14"/>
      <c r="I444" s="379"/>
      <c r="J444" s="379"/>
      <c r="K444" s="379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14301385.5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0" t="str">
        <f>IF(A545="",IF(ISNUMBER(J527),"ENGINEER'S PAYMENT ESTIMATE","ENGINEER'S FINAL PAYMENT ESTIMATE"),A539)</f>
        <v>ENGINEER'S FINAL PAYMENT ESTIMATE</v>
      </c>
      <c r="B490" s="380"/>
      <c r="C490" s="380"/>
      <c r="D490" s="380"/>
      <c r="E490" s="380"/>
      <c r="F490" s="380"/>
      <c r="G490" s="380"/>
      <c r="H490" s="380"/>
      <c r="I490" s="380"/>
      <c r="J490" s="380"/>
      <c r="K490" s="380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Norwest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South Beloit, IL Bid Bond</v>
      </c>
      <c r="C493" s="12"/>
      <c r="D493" s="12"/>
      <c r="E493" s="12"/>
      <c r="F493" s="12"/>
      <c r="G493" s="12"/>
      <c r="H493" s="14"/>
      <c r="I493" s="379"/>
      <c r="J493" s="379"/>
      <c r="K493" s="379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26344657.5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0" t="str">
        <f>IF(A594="",IF(ISNUMBER(J576),"ENGINEER'S PAYMENT ESTIMATE","ENGINEER'S FINAL PAYMENT ESTIMATE"),A588)</f>
        <v>ENGINEER'S FINAL PAYMENT ESTIMATE</v>
      </c>
      <c r="B539" s="380"/>
      <c r="C539" s="380"/>
      <c r="D539" s="380"/>
      <c r="E539" s="380"/>
      <c r="F539" s="380"/>
      <c r="G539" s="380"/>
      <c r="H539" s="380"/>
      <c r="I539" s="380"/>
      <c r="J539" s="380"/>
      <c r="K539" s="380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Norwest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South Beloit, IL Bid Bond</v>
      </c>
      <c r="C542" s="12"/>
      <c r="D542" s="12"/>
      <c r="E542" s="12"/>
      <c r="F542" s="12"/>
      <c r="G542" s="12"/>
      <c r="H542" s="14"/>
      <c r="I542" s="379"/>
      <c r="J542" s="379"/>
      <c r="K542" s="379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48423989.5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0" t="str">
        <f>IF(A644="",IF(ISNUMBER(J625),"ENGINEER'S PAYMENT ESTIMATE","ENGINEER'S FINAL PAYMENT ESTIMATE"),A638)</f>
        <v>ENGINEER'S FINAL PAYMENT ESTIMATE</v>
      </c>
      <c r="B588" s="380"/>
      <c r="C588" s="380"/>
      <c r="D588" s="380"/>
      <c r="E588" s="380"/>
      <c r="F588" s="380"/>
      <c r="G588" s="380"/>
      <c r="H588" s="380"/>
      <c r="I588" s="380"/>
      <c r="J588" s="380"/>
      <c r="K588" s="380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Norwest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South Beloit, IL Bid Bond</v>
      </c>
      <c r="C591" s="12"/>
      <c r="D591" s="12"/>
      <c r="E591" s="12"/>
      <c r="F591" s="12"/>
      <c r="G591" s="12"/>
      <c r="H591" s="14"/>
      <c r="I591" s="379"/>
      <c r="J591" s="379"/>
      <c r="K591" s="379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89070032.5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5"/>
      <c r="G5" s="375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5" t="s">
        <v>102</v>
      </c>
      <c r="G7" s="373"/>
    </row>
    <row r="8" spans="1:7" x14ac:dyDescent="0.2">
      <c r="A8" s="67" t="s">
        <v>49</v>
      </c>
      <c r="B8" s="67"/>
      <c r="C8" s="67"/>
      <c r="D8" s="67"/>
      <c r="E8" s="68" t="s">
        <v>50</v>
      </c>
      <c r="F8" s="375">
        <v>1</v>
      </c>
      <c r="G8" s="375"/>
    </row>
    <row r="9" spans="1:7" x14ac:dyDescent="0.2">
      <c r="A9" s="67"/>
      <c r="B9" s="67"/>
      <c r="C9" s="67"/>
      <c r="D9" s="67"/>
      <c r="E9" s="68" t="s">
        <v>25</v>
      </c>
      <c r="F9" s="384"/>
      <c r="G9" s="384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7" t="str">
        <f>'Tabulation of Bids'!G1</f>
        <v>Norwest Construction</v>
      </c>
      <c r="G10" s="377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6" t="s">
        <v>96</v>
      </c>
      <c r="B57" s="387"/>
      <c r="C57" s="387"/>
      <c r="D57" s="388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9"/>
      <c r="B58" s="390"/>
      <c r="C58" s="390"/>
      <c r="D58" s="391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2"/>
      <c r="B67" s="86" t="s">
        <v>64</v>
      </c>
      <c r="C67" s="86"/>
      <c r="D67" s="86"/>
      <c r="E67" s="86"/>
      <c r="F67" s="86"/>
      <c r="G67" s="86"/>
    </row>
    <row r="68" spans="1:7" x14ac:dyDescent="0.2">
      <c r="A68" s="383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2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3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2"/>
      <c r="B73" s="86" t="s">
        <v>67</v>
      </c>
      <c r="C73" s="86"/>
      <c r="D73" s="86"/>
      <c r="E73" s="86"/>
      <c r="F73" s="86"/>
      <c r="G73" s="86"/>
    </row>
    <row r="74" spans="1:7" x14ac:dyDescent="0.2">
      <c r="A74" s="383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2023-07-17T14:29:04Z</dcterms:modified>
</cp:coreProperties>
</file>